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WDRAŻANIE 2016-2020\KONKURSY\KOLEJNY\17-2022-PROW\SPOTKANIA\WOPP, BP_2022-09-15\"/>
    </mc:Choice>
  </mc:AlternateContent>
  <bookViews>
    <workbookView xWindow="28680" yWindow="-120" windowWidth="21840" windowHeight="1314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wsk_rent'!$A$1:$E$20</definedName>
    <definedName name="_xlnm.Print_Area" localSheetId="1">Przychody!$A$1:$I$27</definedName>
    <definedName name="_xlnm.Print_Area" localSheetId="2">RZS!$A$1:$E$46</definedName>
    <definedName name="_xlnm.Print_Area" localSheetId="0">Zakres!$A$1:$G$32</definedName>
    <definedName name="PrzN1">'NPV + wsk_rent'!$C$5</definedName>
    <definedName name="suma1">Zakres!$G$17</definedName>
    <definedName name="sumaN1">Przychody!#REF!</definedName>
    <definedName name="sumaN2">Przychody!#REF!</definedName>
    <definedName name="sumaN3">Przychody!#REF!</definedName>
    <definedName name="uzasadnienie">Przychody!$A$17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B8" i="3" s="1"/>
  <c r="B5" i="2"/>
  <c r="B5" i="3"/>
  <c r="I6" i="1"/>
  <c r="H6" i="1"/>
  <c r="G6" i="1"/>
  <c r="F6" i="1"/>
  <c r="E6" i="1"/>
  <c r="D26" i="2"/>
  <c r="E26" i="2" s="1"/>
  <c r="C26" i="2"/>
  <c r="C7" i="2"/>
  <c r="D7" i="2"/>
  <c r="E7" i="2"/>
  <c r="B7" i="2"/>
  <c r="K19" i="2"/>
  <c r="J19" i="2"/>
  <c r="I19" i="2"/>
  <c r="H19" i="2"/>
  <c r="K11" i="5"/>
  <c r="K10" i="5"/>
  <c r="K9" i="5"/>
  <c r="F12" i="5"/>
  <c r="G12" i="5"/>
  <c r="F5" i="5"/>
  <c r="G15" i="5" l="1"/>
  <c r="G16" i="5"/>
  <c r="I13" i="1" l="1"/>
  <c r="G13" i="1"/>
  <c r="E13" i="1"/>
  <c r="C5" i="2" s="1"/>
  <c r="G13" i="5"/>
  <c r="D5" i="3" l="1"/>
  <c r="F14" i="1" s="1"/>
  <c r="D5" i="2"/>
  <c r="E5" i="3"/>
  <c r="H14" i="1" s="1"/>
  <c r="E5" i="2"/>
  <c r="C5" i="3"/>
  <c r="C14" i="1" s="1"/>
  <c r="G18" i="5"/>
  <c r="N21" i="5"/>
  <c r="C15" i="1" l="1"/>
  <c r="B9" i="2"/>
  <c r="B20" i="2" l="1"/>
  <c r="C20" i="2" l="1"/>
  <c r="D20" i="2"/>
  <c r="E20" i="2"/>
  <c r="A20" i="2" l="1"/>
  <c r="M28" i="5"/>
  <c r="G14" i="5"/>
  <c r="N22" i="5" l="1"/>
  <c r="N23" i="5"/>
  <c r="M29" i="5" l="1"/>
  <c r="E11" i="3" s="1"/>
  <c r="E14" i="3"/>
  <c r="D14" i="3"/>
  <c r="C14" i="3" l="1"/>
  <c r="B4" i="3" l="1"/>
  <c r="B19" i="2" l="1"/>
  <c r="B28" i="2" s="1"/>
  <c r="C19" i="2"/>
  <c r="D19" i="2"/>
  <c r="D12" i="3" s="1"/>
  <c r="E19" i="2"/>
  <c r="E12" i="3" s="1"/>
  <c r="C12" i="3" l="1"/>
  <c r="C28" i="2"/>
  <c r="C6" i="3" s="1"/>
  <c r="B12" i="3"/>
  <c r="B6" i="3"/>
  <c r="E28" i="2"/>
  <c r="E6" i="3" s="1"/>
  <c r="D28" i="2"/>
  <c r="D6" i="3" s="1"/>
  <c r="B14" i="3"/>
  <c r="E9" i="2"/>
  <c r="B7" i="3" l="1"/>
  <c r="C7" i="3"/>
  <c r="D9" i="2"/>
  <c r="D29" i="2" s="1"/>
  <c r="D30" i="2" s="1"/>
  <c r="B29" i="2"/>
  <c r="E29" i="2"/>
  <c r="E30" i="2" s="1"/>
  <c r="E7" i="3"/>
  <c r="C9" i="2"/>
  <c r="C29" i="2" s="1"/>
  <c r="C30" i="2" s="1"/>
  <c r="B10" i="3" l="1"/>
  <c r="D8" i="3"/>
  <c r="E20" i="3"/>
  <c r="E8" i="3"/>
  <c r="E10" i="3" s="1"/>
  <c r="C20" i="3"/>
  <c r="C8" i="3"/>
  <c r="C10" i="3" s="1"/>
  <c r="B20" i="3"/>
  <c r="D7" i="3"/>
  <c r="D20" i="3"/>
  <c r="B31" i="2"/>
  <c r="E31" i="2"/>
  <c r="B13" i="3" l="1"/>
  <c r="D31" i="2"/>
  <c r="D10" i="3"/>
  <c r="D13" i="3" s="1"/>
  <c r="E13" i="3"/>
  <c r="C31" i="2"/>
  <c r="C13" i="3" s="1"/>
  <c r="B15" i="3" l="1"/>
  <c r="G17" i="5"/>
  <c r="H33" i="5" s="1"/>
  <c r="G19" i="5"/>
  <c r="H38" i="5" l="1"/>
  <c r="H32" i="5"/>
  <c r="H37" i="5"/>
  <c r="H35" i="5"/>
  <c r="H34" i="5"/>
  <c r="H36" i="5"/>
</calcChain>
</file>

<file path=xl/sharedStrings.xml><?xml version="1.0" encoding="utf-8"?>
<sst xmlns="http://schemas.openxmlformats.org/spreadsheetml/2006/main" count="143" uniqueCount="118">
  <si>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</si>
  <si>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</si>
  <si>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</si>
  <si>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</si>
  <si>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</si>
  <si>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</si>
  <si>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</si>
  <si>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</si>
  <si>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</si>
  <si>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</si>
  <si>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</si>
  <si>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</si>
  <si>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</si>
  <si>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</si>
  <si>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</si>
  <si>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</si>
  <si>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</si>
  <si>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</si>
  <si>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</si>
  <si>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</si>
  <si>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</si>
  <si>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</si>
  <si>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</si>
  <si>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</si>
  <si>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</si>
  <si>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</si>
  <si>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</si>
  <si>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</si>
  <si>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</si>
  <si>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</si>
  <si>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</si>
  <si>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</si>
  <si>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</si>
  <si>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</si>
  <si>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</si>
  <si>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</si>
  <si>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</si>
  <si>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</si>
  <si>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</si>
  <si>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</si>
  <si>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</si>
  <si>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</si>
  <si>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</si>
  <si>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</si>
  <si>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</si>
  <si>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</si>
  <si>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</si>
  <si>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</si>
  <si>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</si>
  <si>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</si>
  <si>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</si>
  <si>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</si>
  <si>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</si>
  <si>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</si>
  <si>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</si>
  <si>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</si>
  <si>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</si>
  <si>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</si>
  <si>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</si>
  <si>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</si>
  <si>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</si>
  <si>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</si>
  <si>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</si>
  <si>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</si>
  <si>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</si>
  <si>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</si>
  <si>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</si>
  <si>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</si>
  <si>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</si>
  <si>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</si>
  <si>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</si>
  <si>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</si>
  <si>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</si>
  <si>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</si>
  <si>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</si>
  <si>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</si>
  <si>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</si>
  <si>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</si>
  <si>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</si>
  <si>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</si>
  <si>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</si>
  <si>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</si>
  <si>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</si>
  <si>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</si>
  <si>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</si>
  <si>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</si>
  <si>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</si>
  <si>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Suma: 
(Rok N + Rok N-1 + Rok N-2)</t>
  </si>
  <si>
    <t>Suma: (Rok N + Rok N-1 + Rok N-2)</t>
  </si>
  <si>
    <t>6.</t>
  </si>
  <si>
    <t>roboty ziemne</t>
  </si>
  <si>
    <t>stan surowy otwarty</t>
  </si>
  <si>
    <t>stan surowy zamknięty</t>
  </si>
  <si>
    <t>instalacje</t>
  </si>
  <si>
    <t xml:space="preserve">wykończenie </t>
  </si>
  <si>
    <t xml:space="preserve">Koszt niezbędny do rozwoju działalności w branży produktów spozywczych- produkcja soków. Wartości parametrów są niezbędne, aby produkcja była opłacalna i na zamierzonym poziomie. </t>
  </si>
  <si>
    <t xml:space="preserve">Moc x, wydajność y, zautomatyzowanie, ilośc do obsługi. 
Zestaw - jednostka </t>
  </si>
  <si>
    <t>Korytowanie, wywóz ziemi, wyrównanie terenu, podkład pod fundamenty, jednostką są m3 dla wywozu ziemi. Szczegółowe parametry zawarto w kosztporysie inwetsorskim</t>
  </si>
  <si>
    <t>Etap prac jest niezbędny, aby wykonać podbudowę pod halę produkcyjną- miejsce, w którym będzie prowadzona produkcja soków.</t>
  </si>
  <si>
    <t>Podatek VAT</t>
  </si>
  <si>
    <t>nie jest vatowcem</t>
  </si>
  <si>
    <t>stawka 23%</t>
  </si>
  <si>
    <t>stawka amortyzacji</t>
  </si>
  <si>
    <t>roczny odpis amortyzacyjny</t>
  </si>
  <si>
    <t>z tytułu refundacji</t>
  </si>
  <si>
    <t>z tytułu amortyzacji</t>
  </si>
  <si>
    <t>Pozycja dot. amortyzacji(przychody i amortyzacja w kosztach) została wyliczona wg metody liniowej, stawki przyjęto z zał do ropzorzędzenia MF, dla budynku przyjeto 2,5%, a dla linii techonolgicznej 10% w skali roku.</t>
  </si>
  <si>
    <t>Dla kosztów budowlanych przyjeto założenia z kosztorysu inwestorskiego, a dla pozostałych pozycji z ofert cenowych (ofertę i kontrofertę).</t>
  </si>
  <si>
    <t>Linia techonologiczna</t>
  </si>
  <si>
    <t>!!!!!!!!!</t>
  </si>
  <si>
    <r>
      <t xml:space="preserve">Suma: 
(Rok N + Rok N-1 + Rok N-2)
</t>
    </r>
    <r>
      <rPr>
        <sz val="10"/>
        <color rgb="FFFF0000"/>
        <rFont val="Times New Roman"/>
        <family val="1"/>
        <charset val="238"/>
      </rPr>
      <t>2025- wg przykładu w tbaeli 6.1</t>
    </r>
  </si>
  <si>
    <r>
      <t xml:space="preserve">Rok n+1
</t>
    </r>
    <r>
      <rPr>
        <sz val="10"/>
        <color rgb="FFFF0000"/>
        <rFont val="Times New Roman"/>
        <family val="1"/>
        <charset val="238"/>
      </rPr>
      <t>2026</t>
    </r>
  </si>
  <si>
    <r>
      <t xml:space="preserve">Rok n+2
</t>
    </r>
    <r>
      <rPr>
        <sz val="10"/>
        <color rgb="FFFF0000"/>
        <rFont val="Times New Roman"/>
        <family val="1"/>
        <charset val="238"/>
      </rPr>
      <t>2027</t>
    </r>
  </si>
  <si>
    <r>
      <t xml:space="preserve">Rok n+3
</t>
    </r>
    <r>
      <rPr>
        <sz val="10"/>
        <color rgb="FFFF0000"/>
        <rFont val="Times New Roman"/>
        <family val="1"/>
        <charset val="238"/>
      </rPr>
      <t>2027</t>
    </r>
  </si>
  <si>
    <t xml:space="preserve">10% planować </t>
  </si>
  <si>
    <t>sok jabłkowy</t>
  </si>
  <si>
    <t>sztuka</t>
  </si>
  <si>
    <t>jaka jest wydajność
sezon martwy
przestój technoligiczny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</si>
</sst>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3" formatCode="_-* #,##0.00_-;\-* #,##0.00_-;_-* &quot;-&quot;??_-;_-@_-"/>
    <numFmt numFmtId="164" formatCode="0.0000"/>
    <numFmt numFmtId="165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/>
    <xf numFmtId="49" fontId="0" fillId="0" borderId="0" xfId="0" applyNumberFormat="1"/>
    <xf numFmtId="2" fontId="2" fillId="0" borderId="0" xfId="0" applyNumberFormat="1" applyFont="1"/>
    <xf numFmtId="2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43" fontId="2" fillId="0" borderId="0" xfId="2" applyFont="1"/>
    <xf numFmtId="43" fontId="2" fillId="4" borderId="1" xfId="2" applyFont="1" applyFill="1" applyBorder="1" applyAlignment="1">
      <alignment horizontal="center" vertical="center" wrapText="1"/>
    </xf>
    <xf numFmtId="43" fontId="3" fillId="0" borderId="1" xfId="2" applyFont="1" applyBorder="1" applyAlignment="1" applyProtection="1">
      <alignment horizontal="center" vertical="center" wrapText="1"/>
      <protection locked="0"/>
    </xf>
    <xf numFmtId="43" fontId="3" fillId="4" borderId="15" xfId="2" applyFont="1" applyFill="1" applyBorder="1" applyAlignment="1" applyProtection="1">
      <alignment vertical="center" wrapText="1"/>
      <protection locked="0"/>
    </xf>
    <xf numFmtId="43" fontId="4" fillId="0" borderId="1" xfId="2" applyFont="1" applyBorder="1" applyAlignment="1" applyProtection="1">
      <alignment horizontal="center" vertical="center" wrapText="1"/>
    </xf>
    <xf numFmtId="43" fontId="4" fillId="0" borderId="1" xfId="2" applyFont="1" applyBorder="1" applyAlignment="1" applyProtection="1">
      <alignment horizontal="center" vertical="center" wrapText="1"/>
      <protection locked="0"/>
    </xf>
    <xf numFmtId="43" fontId="0" fillId="0" borderId="0" xfId="2" applyFont="1"/>
    <xf numFmtId="43" fontId="3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5" fontId="0" fillId="0" borderId="0" xfId="0" applyNumberFormat="1" applyAlignment="1" applyProtection="1">
      <alignment wrapText="1"/>
      <protection locked="0"/>
    </xf>
    <xf numFmtId="0" fontId="9" fillId="0" borderId="0" xfId="0" applyFont="1" applyProtection="1">
      <protection locked="0"/>
    </xf>
  </cellXfs>
  <cellStyles count="3">
    <cellStyle name="Dziesiętny" xfId="2" builtinId="3"/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39"/>
  <sheetViews>
    <sheetView view="pageBreakPreview" zoomScale="140" zoomScaleNormal="100" zoomScaleSheetLayoutView="140" workbookViewId="0">
      <pane ySplit="3" topLeftCell="A13" activePane="bottomLeft" state="frozen"/>
      <selection pane="bottomLeft" activeCell="G19" sqref="G19"/>
    </sheetView>
  </sheetViews>
  <sheetFormatPr defaultRowHeight="14.4" x14ac:dyDescent="0.3"/>
  <cols>
    <col min="1" max="1" width="3.33203125" customWidth="1"/>
    <col min="2" max="2" width="35.33203125" style="106" customWidth="1"/>
    <col min="3" max="3" width="20.5546875" style="106" customWidth="1"/>
    <col min="4" max="4" width="24" style="106" customWidth="1"/>
    <col min="5" max="5" width="13.44140625" style="110" customWidth="1"/>
    <col min="6" max="6" width="13.33203125" style="117" customWidth="1"/>
    <col min="7" max="7" width="18.33203125" style="117" customWidth="1"/>
    <col min="8" max="8" width="23.88671875" style="38" customWidth="1"/>
    <col min="9" max="9" width="7.21875" style="119" customWidth="1"/>
    <col min="10" max="10" width="2.6640625" customWidth="1"/>
    <col min="11" max="11" width="16.109375" style="119" customWidth="1"/>
    <col min="12" max="12" width="24.88671875" customWidth="1"/>
    <col min="13" max="13" width="7.5546875" customWidth="1"/>
    <col min="14" max="14" width="7.33203125" customWidth="1"/>
  </cols>
  <sheetData>
    <row r="1" spans="1:11" x14ac:dyDescent="0.3">
      <c r="A1" s="64" t="s">
        <v>40</v>
      </c>
      <c r="B1" s="64"/>
      <c r="C1" s="64"/>
      <c r="D1" s="64"/>
      <c r="E1" s="107"/>
      <c r="F1" s="111"/>
      <c r="G1" s="111"/>
      <c r="H1" s="26"/>
    </row>
    <row r="2" spans="1:11" ht="40.5" customHeight="1" x14ac:dyDescent="0.3">
      <c r="A2" s="65" t="s">
        <v>41</v>
      </c>
      <c r="B2" s="65"/>
      <c r="C2" s="65"/>
      <c r="D2" s="65"/>
      <c r="E2" s="107"/>
      <c r="F2" s="111"/>
      <c r="G2" s="111"/>
      <c r="H2" s="45" t="s">
        <v>79</v>
      </c>
    </row>
    <row r="3" spans="1:11" ht="51.75" customHeight="1" x14ac:dyDescent="0.3">
      <c r="A3" s="66" t="s">
        <v>42</v>
      </c>
      <c r="B3" s="66"/>
      <c r="C3" s="100" t="s">
        <v>43</v>
      </c>
      <c r="D3" s="101" t="s">
        <v>44</v>
      </c>
      <c r="E3" s="108" t="s">
        <v>45</v>
      </c>
      <c r="F3" s="118" t="s">
        <v>46</v>
      </c>
      <c r="G3" s="112" t="s">
        <v>47</v>
      </c>
      <c r="H3" s="49" t="s">
        <v>80</v>
      </c>
      <c r="I3" s="119" t="s">
        <v>102</v>
      </c>
      <c r="K3" s="119" t="s">
        <v>103</v>
      </c>
    </row>
    <row r="4" spans="1:11" x14ac:dyDescent="0.3">
      <c r="A4" s="59" t="s">
        <v>55</v>
      </c>
      <c r="B4" s="60"/>
      <c r="C4" s="60"/>
      <c r="D4" s="60"/>
      <c r="E4" s="60"/>
      <c r="F4" s="60"/>
      <c r="G4" s="61"/>
      <c r="H4" s="48"/>
    </row>
    <row r="5" spans="1:11" s="15" customFormat="1" ht="92.4" x14ac:dyDescent="0.3">
      <c r="A5" s="12" t="s">
        <v>48</v>
      </c>
      <c r="B5" s="102" t="s">
        <v>90</v>
      </c>
      <c r="C5" s="103" t="s">
        <v>98</v>
      </c>
      <c r="D5" s="103" t="s">
        <v>97</v>
      </c>
      <c r="E5" s="109">
        <v>50</v>
      </c>
      <c r="F5" s="113">
        <f>G5/E5</f>
        <v>200</v>
      </c>
      <c r="G5" s="113">
        <v>10000</v>
      </c>
      <c r="H5" s="27" t="s">
        <v>62</v>
      </c>
      <c r="I5" s="120"/>
      <c r="K5" s="120"/>
    </row>
    <row r="6" spans="1:11" s="15" customFormat="1" x14ac:dyDescent="0.3">
      <c r="A6" s="12" t="s">
        <v>50</v>
      </c>
      <c r="B6" s="102" t="s">
        <v>91</v>
      </c>
      <c r="C6" s="103"/>
      <c r="D6" s="103"/>
      <c r="E6" s="109"/>
      <c r="F6" s="113"/>
      <c r="G6" s="113">
        <v>100000</v>
      </c>
      <c r="H6" s="27" t="s">
        <v>62</v>
      </c>
      <c r="I6" s="120"/>
      <c r="K6" s="120"/>
    </row>
    <row r="7" spans="1:11" s="15" customFormat="1" x14ac:dyDescent="0.3">
      <c r="A7" s="12" t="s">
        <v>51</v>
      </c>
      <c r="B7" s="102" t="s">
        <v>92</v>
      </c>
      <c r="C7" s="103"/>
      <c r="D7" s="103"/>
      <c r="E7" s="109"/>
      <c r="F7" s="113"/>
      <c r="G7" s="113">
        <v>50000</v>
      </c>
      <c r="H7" s="27" t="s">
        <v>62</v>
      </c>
      <c r="I7" s="120"/>
      <c r="K7" s="120"/>
    </row>
    <row r="8" spans="1:11" s="15" customFormat="1" x14ac:dyDescent="0.3">
      <c r="A8" s="12" t="s">
        <v>52</v>
      </c>
      <c r="B8" s="102" t="s">
        <v>93</v>
      </c>
      <c r="C8" s="103"/>
      <c r="D8" s="103"/>
      <c r="E8" s="109"/>
      <c r="F8" s="113"/>
      <c r="G8" s="113">
        <v>50000</v>
      </c>
      <c r="H8" s="27" t="s">
        <v>62</v>
      </c>
      <c r="I8" s="120"/>
      <c r="K8" s="120"/>
    </row>
    <row r="9" spans="1:11" s="15" customFormat="1" ht="30" customHeight="1" x14ac:dyDescent="0.3">
      <c r="A9" s="12" t="s">
        <v>53</v>
      </c>
      <c r="B9" s="102" t="s">
        <v>94</v>
      </c>
      <c r="C9" s="104"/>
      <c r="D9" s="103"/>
      <c r="E9" s="109"/>
      <c r="F9" s="113"/>
      <c r="G9" s="113">
        <v>55000</v>
      </c>
      <c r="H9" s="27" t="s">
        <v>62</v>
      </c>
      <c r="I9" s="120">
        <v>2.5000000000000001E-2</v>
      </c>
      <c r="K9" s="120">
        <f>(SUM(G5:G9)*I9)</f>
        <v>6625</v>
      </c>
    </row>
    <row r="10" spans="1:11" s="15" customFormat="1" ht="118.8" x14ac:dyDescent="0.3">
      <c r="A10" s="12" t="s">
        <v>89</v>
      </c>
      <c r="B10" s="102" t="s">
        <v>108</v>
      </c>
      <c r="C10" s="103" t="s">
        <v>95</v>
      </c>
      <c r="D10" s="103" t="s">
        <v>96</v>
      </c>
      <c r="E10" s="109">
        <v>1</v>
      </c>
      <c r="F10" s="113">
        <v>250000</v>
      </c>
      <c r="G10" s="113">
        <v>250000</v>
      </c>
      <c r="H10" s="27" t="s">
        <v>62</v>
      </c>
      <c r="I10" s="120">
        <v>0.1</v>
      </c>
      <c r="K10" s="124">
        <f>I10*G10</f>
        <v>25000</v>
      </c>
    </row>
    <row r="11" spans="1:11" s="15" customFormat="1" x14ac:dyDescent="0.3">
      <c r="A11" s="62" t="s">
        <v>56</v>
      </c>
      <c r="B11" s="63"/>
      <c r="C11" s="63"/>
      <c r="D11" s="63"/>
      <c r="E11" s="63"/>
      <c r="F11" s="63"/>
      <c r="G11" s="114"/>
      <c r="H11" s="27"/>
      <c r="I11" s="120"/>
      <c r="K11" s="120">
        <f>SUM(K8:K10)</f>
        <v>31625</v>
      </c>
    </row>
    <row r="12" spans="1:11" s="15" customFormat="1" x14ac:dyDescent="0.3">
      <c r="A12" s="12" t="s">
        <v>48</v>
      </c>
      <c r="B12" s="102" t="s">
        <v>99</v>
      </c>
      <c r="C12" s="103" t="s">
        <v>100</v>
      </c>
      <c r="D12" s="103" t="s">
        <v>101</v>
      </c>
      <c r="E12" s="109">
        <v>1</v>
      </c>
      <c r="F12" s="113">
        <f>G12</f>
        <v>118450</v>
      </c>
      <c r="G12" s="113">
        <f>(G18*1.23)-G18</f>
        <v>118450</v>
      </c>
      <c r="H12" s="27" t="s">
        <v>49</v>
      </c>
      <c r="I12" s="120"/>
      <c r="K12" s="120"/>
    </row>
    <row r="13" spans="1:11" s="15" customFormat="1" x14ac:dyDescent="0.3">
      <c r="A13" s="12" t="s">
        <v>50</v>
      </c>
      <c r="B13" s="102"/>
      <c r="C13" s="103"/>
      <c r="D13" s="103"/>
      <c r="E13" s="109"/>
      <c r="F13" s="113"/>
      <c r="G13" s="113">
        <f t="shared" ref="G12:G16" si="0">E13*F13</f>
        <v>0</v>
      </c>
      <c r="H13" s="27" t="s">
        <v>49</v>
      </c>
      <c r="I13" s="120"/>
      <c r="K13" s="120"/>
    </row>
    <row r="14" spans="1:11" s="15" customFormat="1" x14ac:dyDescent="0.3">
      <c r="A14" s="12" t="s">
        <v>51</v>
      </c>
      <c r="B14" s="102"/>
      <c r="C14" s="103"/>
      <c r="D14" s="103"/>
      <c r="E14" s="109"/>
      <c r="F14" s="113"/>
      <c r="G14" s="113">
        <f t="shared" si="0"/>
        <v>0</v>
      </c>
      <c r="H14" s="27" t="s">
        <v>49</v>
      </c>
      <c r="I14" s="120"/>
      <c r="K14" s="120"/>
    </row>
    <row r="15" spans="1:11" s="15" customFormat="1" x14ac:dyDescent="0.3">
      <c r="A15" s="12" t="s">
        <v>52</v>
      </c>
      <c r="B15" s="102"/>
      <c r="C15" s="103"/>
      <c r="D15" s="103"/>
      <c r="E15" s="109"/>
      <c r="F15" s="113"/>
      <c r="G15" s="113">
        <f t="shared" ref="G15" si="1">E15*F15</f>
        <v>0</v>
      </c>
      <c r="H15" s="27" t="s">
        <v>49</v>
      </c>
      <c r="I15" s="120"/>
      <c r="K15" s="120"/>
    </row>
    <row r="16" spans="1:11" s="15" customFormat="1" x14ac:dyDescent="0.3">
      <c r="A16" s="12" t="s">
        <v>53</v>
      </c>
      <c r="B16" s="102"/>
      <c r="C16" s="103"/>
      <c r="D16" s="103"/>
      <c r="E16" s="109"/>
      <c r="F16" s="113"/>
      <c r="G16" s="113">
        <f t="shared" si="0"/>
        <v>0</v>
      </c>
      <c r="H16" s="27" t="s">
        <v>49</v>
      </c>
      <c r="I16" s="120"/>
      <c r="K16" s="120"/>
    </row>
    <row r="17" spans="1:15" x14ac:dyDescent="0.3">
      <c r="A17" s="54" t="s">
        <v>54</v>
      </c>
      <c r="B17" s="54"/>
      <c r="C17" s="54"/>
      <c r="D17" s="54"/>
      <c r="E17" s="54"/>
      <c r="F17" s="54"/>
      <c r="G17" s="115">
        <f>SUM(G5:G10,G12:G16)</f>
        <v>633450</v>
      </c>
      <c r="H17" s="28"/>
    </row>
    <row r="18" spans="1:15" x14ac:dyDescent="0.3">
      <c r="A18" s="54" t="s">
        <v>55</v>
      </c>
      <c r="B18" s="54"/>
      <c r="C18" s="54"/>
      <c r="D18" s="54"/>
      <c r="E18" s="54"/>
      <c r="F18" s="54"/>
      <c r="G18" s="115">
        <f>SUM(G5:G10)</f>
        <v>515000</v>
      </c>
      <c r="H18" s="28"/>
    </row>
    <row r="19" spans="1:15" x14ac:dyDescent="0.3">
      <c r="A19" s="54" t="s">
        <v>56</v>
      </c>
      <c r="B19" s="54"/>
      <c r="C19" s="54"/>
      <c r="D19" s="54"/>
      <c r="E19" s="54"/>
      <c r="F19" s="54"/>
      <c r="G19" s="115">
        <f>SUM(G12:G16)</f>
        <v>118450</v>
      </c>
      <c r="H19" s="28"/>
      <c r="J19" s="26"/>
      <c r="K19" s="121"/>
      <c r="L19" s="26"/>
      <c r="M19" s="26"/>
      <c r="N19" s="26"/>
      <c r="O19" s="26"/>
    </row>
    <row r="20" spans="1:15" ht="15" customHeight="1" x14ac:dyDescent="0.3">
      <c r="A20" s="54" t="s">
        <v>58</v>
      </c>
      <c r="B20" s="54"/>
      <c r="C20" s="54"/>
      <c r="D20" s="54"/>
      <c r="E20" s="54"/>
      <c r="F20" s="54"/>
      <c r="G20" s="116">
        <v>0</v>
      </c>
      <c r="H20" s="28"/>
      <c r="J20" s="26"/>
      <c r="K20" s="122"/>
      <c r="L20" s="33" t="s">
        <v>49</v>
      </c>
      <c r="M20" s="33"/>
      <c r="N20" s="33"/>
      <c r="O20" s="26"/>
    </row>
    <row r="21" spans="1:15" x14ac:dyDescent="0.3">
      <c r="A21" s="55"/>
      <c r="B21" s="55"/>
      <c r="C21" s="55"/>
      <c r="D21" s="55"/>
      <c r="E21" s="55"/>
      <c r="F21" s="55"/>
      <c r="G21" s="55"/>
      <c r="H21" s="28"/>
      <c r="J21" s="26"/>
      <c r="K21" s="122"/>
      <c r="L21" s="33" t="s">
        <v>62</v>
      </c>
      <c r="M21" s="33"/>
      <c r="N21" s="33">
        <f>SUMIFS(G5:G16,H5:H16,"Ki pieniężne")</f>
        <v>515000</v>
      </c>
      <c r="O21" s="26"/>
    </row>
    <row r="22" spans="1:15" ht="27.75" customHeight="1" x14ac:dyDescent="0.3">
      <c r="A22" s="56" t="s">
        <v>60</v>
      </c>
      <c r="B22" s="57"/>
      <c r="C22" s="57"/>
      <c r="D22" s="57"/>
      <c r="E22" s="57"/>
      <c r="F22" s="57"/>
      <c r="G22" s="57"/>
      <c r="H22" s="28"/>
      <c r="J22" s="26"/>
      <c r="K22" s="122"/>
      <c r="L22" s="33" t="s">
        <v>61</v>
      </c>
      <c r="M22" s="33"/>
      <c r="N22" s="33">
        <f ca="1">SUMIFS($G$5:OFFSET(suma1,-1,0),$H$5:OFFSET(suma1,-1,1),$L22)</f>
        <v>0</v>
      </c>
      <c r="O22" s="26"/>
    </row>
    <row r="23" spans="1:15" x14ac:dyDescent="0.3">
      <c r="A23" s="58" t="s">
        <v>107</v>
      </c>
      <c r="B23" s="58"/>
      <c r="C23" s="58"/>
      <c r="D23" s="58"/>
      <c r="E23" s="58"/>
      <c r="F23" s="58"/>
      <c r="G23" s="58"/>
      <c r="H23" s="28"/>
      <c r="J23" s="26"/>
      <c r="K23" s="122"/>
      <c r="L23" s="33" t="s">
        <v>81</v>
      </c>
      <c r="M23" s="33"/>
      <c r="N23" s="33">
        <f ca="1">SUMIFS($G$5:OFFSET(suma1,-1,0),$H$5:OFFSET(suma1,-1,1),$L23)</f>
        <v>0</v>
      </c>
      <c r="O23" s="26"/>
    </row>
    <row r="24" spans="1:15" x14ac:dyDescent="0.3">
      <c r="A24" s="58"/>
      <c r="B24" s="58"/>
      <c r="C24" s="58"/>
      <c r="D24" s="58"/>
      <c r="E24" s="58"/>
      <c r="F24" s="58"/>
      <c r="G24" s="58"/>
      <c r="H24" s="28"/>
      <c r="J24" s="26"/>
      <c r="K24" s="121"/>
      <c r="L24" s="26"/>
      <c r="M24" s="26"/>
      <c r="N24" s="26"/>
      <c r="O24" s="26"/>
    </row>
    <row r="25" spans="1:15" x14ac:dyDescent="0.3">
      <c r="A25" s="58"/>
      <c r="B25" s="58"/>
      <c r="C25" s="58"/>
      <c r="D25" s="58"/>
      <c r="E25" s="58"/>
      <c r="F25" s="58"/>
      <c r="G25" s="58"/>
      <c r="H25" s="28"/>
      <c r="L25" s="26"/>
      <c r="M25" s="26"/>
      <c r="N25" s="26"/>
    </row>
    <row r="26" spans="1:15" x14ac:dyDescent="0.3">
      <c r="A26" s="58"/>
      <c r="B26" s="58"/>
      <c r="C26" s="58"/>
      <c r="D26" s="58"/>
      <c r="E26" s="58"/>
      <c r="F26" s="58"/>
      <c r="G26" s="58"/>
      <c r="H26" s="28"/>
      <c r="L26" s="26"/>
      <c r="M26" s="26"/>
      <c r="N26" s="26"/>
    </row>
    <row r="27" spans="1:15" x14ac:dyDescent="0.3">
      <c r="A27" s="58"/>
      <c r="B27" s="58"/>
      <c r="C27" s="58"/>
      <c r="D27" s="58"/>
      <c r="E27" s="58"/>
      <c r="F27" s="58"/>
      <c r="G27" s="58"/>
      <c r="H27" s="28"/>
      <c r="K27" s="123"/>
      <c r="L27" s="33"/>
      <c r="M27" s="33"/>
      <c r="N27" s="33"/>
    </row>
    <row r="28" spans="1:15" x14ac:dyDescent="0.3">
      <c r="A28" s="58"/>
      <c r="B28" s="58"/>
      <c r="C28" s="58"/>
      <c r="D28" s="58"/>
      <c r="E28" s="58"/>
      <c r="F28" s="58"/>
      <c r="G28" s="58"/>
      <c r="H28" s="28"/>
      <c r="K28" s="123"/>
      <c r="L28" s="34" t="s">
        <v>57</v>
      </c>
      <c r="M28" s="34">
        <f>N21</f>
        <v>515000</v>
      </c>
      <c r="N28" s="33"/>
    </row>
    <row r="29" spans="1:15" x14ac:dyDescent="0.3">
      <c r="A29" s="58"/>
      <c r="B29" s="58"/>
      <c r="C29" s="58"/>
      <c r="D29" s="58"/>
      <c r="E29" s="58"/>
      <c r="F29" s="58"/>
      <c r="G29" s="58"/>
      <c r="H29" s="28"/>
      <c r="K29" s="123"/>
      <c r="L29" s="42" t="s">
        <v>59</v>
      </c>
      <c r="M29" s="34">
        <f>N21</f>
        <v>515000</v>
      </c>
      <c r="N29" s="33"/>
    </row>
    <row r="30" spans="1:15" x14ac:dyDescent="0.3">
      <c r="A30" s="58"/>
      <c r="B30" s="58"/>
      <c r="C30" s="58"/>
      <c r="D30" s="58"/>
      <c r="E30" s="58"/>
      <c r="F30" s="58"/>
      <c r="G30" s="58"/>
      <c r="H30" s="28"/>
      <c r="K30" s="123"/>
      <c r="L30" s="41"/>
      <c r="M30" s="41"/>
      <c r="N30" s="41"/>
    </row>
    <row r="31" spans="1:15" x14ac:dyDescent="0.3">
      <c r="A31" s="58"/>
      <c r="B31" s="58"/>
      <c r="C31" s="58"/>
      <c r="D31" s="58"/>
      <c r="E31" s="58"/>
      <c r="F31" s="58"/>
      <c r="G31" s="58"/>
      <c r="H31" s="28"/>
    </row>
    <row r="32" spans="1:15" x14ac:dyDescent="0.3">
      <c r="A32" s="58"/>
      <c r="B32" s="58"/>
      <c r="C32" s="58"/>
      <c r="D32" s="58"/>
      <c r="E32" s="58"/>
      <c r="F32" s="58"/>
      <c r="G32" s="58"/>
      <c r="H32" s="28" t="str">
        <f t="shared" ref="H32:H38" si="2">IF(G33=suma1,IF(G33&gt;0,"wybierz z listy",""),"")</f>
        <v/>
      </c>
    </row>
    <row r="33" spans="1:8" x14ac:dyDescent="0.3">
      <c r="A33" s="26"/>
      <c r="B33" s="105"/>
      <c r="C33" s="105"/>
      <c r="D33" s="105"/>
      <c r="E33" s="107"/>
      <c r="F33" s="111"/>
      <c r="G33" s="111"/>
      <c r="H33" s="28" t="str">
        <f t="shared" si="2"/>
        <v/>
      </c>
    </row>
    <row r="34" spans="1:8" x14ac:dyDescent="0.3">
      <c r="A34" s="26"/>
      <c r="B34" s="105"/>
      <c r="C34" s="105"/>
      <c r="D34" s="105"/>
      <c r="E34" s="107"/>
      <c r="F34" s="111"/>
      <c r="G34" s="111"/>
      <c r="H34" s="28" t="str">
        <f t="shared" si="2"/>
        <v/>
      </c>
    </row>
    <row r="35" spans="1:8" x14ac:dyDescent="0.3">
      <c r="A35" s="26"/>
      <c r="B35" s="105"/>
      <c r="C35" s="105"/>
      <c r="D35" s="105"/>
      <c r="E35" s="107"/>
      <c r="F35" s="111"/>
      <c r="G35" s="111"/>
      <c r="H35" s="28" t="str">
        <f t="shared" si="2"/>
        <v/>
      </c>
    </row>
    <row r="36" spans="1:8" x14ac:dyDescent="0.3">
      <c r="A36" s="26"/>
      <c r="B36" s="105"/>
      <c r="C36" s="105"/>
      <c r="D36" s="105"/>
      <c r="E36" s="107"/>
      <c r="F36" s="111"/>
      <c r="G36" s="111"/>
      <c r="H36" s="28" t="str">
        <f t="shared" si="2"/>
        <v/>
      </c>
    </row>
    <row r="37" spans="1:8" x14ac:dyDescent="0.3">
      <c r="A37" s="26"/>
      <c r="B37" s="105"/>
      <c r="C37" s="105"/>
      <c r="D37" s="105"/>
      <c r="E37" s="107"/>
      <c r="F37" s="111"/>
      <c r="G37" s="111"/>
      <c r="H37" s="28" t="str">
        <f t="shared" si="2"/>
        <v/>
      </c>
    </row>
    <row r="38" spans="1:8" x14ac:dyDescent="0.3">
      <c r="A38" s="26"/>
      <c r="B38" s="105"/>
      <c r="C38" s="105"/>
      <c r="D38" s="105"/>
      <c r="E38" s="107"/>
      <c r="F38" s="111"/>
      <c r="G38" s="111"/>
      <c r="H38" s="28" t="str">
        <f t="shared" si="2"/>
        <v/>
      </c>
    </row>
    <row r="39" spans="1:8" x14ac:dyDescent="0.3">
      <c r="A39" s="26"/>
      <c r="B39" s="105"/>
      <c r="C39" s="105"/>
      <c r="D39" s="105"/>
      <c r="E39" s="107"/>
      <c r="F39" s="111"/>
      <c r="G39" s="111"/>
    </row>
  </sheetData>
  <sheetProtection insertRows="0" deleteRows="0"/>
  <mergeCells count="12">
    <mergeCell ref="A17:F17"/>
    <mergeCell ref="A18:F18"/>
    <mergeCell ref="A4:G4"/>
    <mergeCell ref="A11:F11"/>
    <mergeCell ref="A1:D1"/>
    <mergeCell ref="A2:D2"/>
    <mergeCell ref="A3:B3"/>
    <mergeCell ref="A20:F20"/>
    <mergeCell ref="A21:G21"/>
    <mergeCell ref="A22:G22"/>
    <mergeCell ref="A23:G32"/>
    <mergeCell ref="A19:F19"/>
  </mergeCells>
  <conditionalFormatting sqref="H16 H5:H14">
    <cfRule type="expression" dxfId="3" priority="31">
      <formula>$G5&gt;0</formula>
    </cfRule>
  </conditionalFormatting>
  <conditionalFormatting sqref="H16 H5:H14">
    <cfRule type="expression" dxfId="2" priority="29">
      <formula>$G5=0</formula>
    </cfRule>
  </conditionalFormatting>
  <conditionalFormatting sqref="H15">
    <cfRule type="expression" dxfId="1" priority="2">
      <formula>$G15&gt;0</formula>
    </cfRule>
  </conditionalFormatting>
  <conditionalFormatting sqref="H15">
    <cfRule type="expression" dxfId="0" priority="1">
      <formula>$G15=0</formula>
    </cfRule>
  </conditionalFormatting>
  <dataValidations count="1">
    <dataValidation type="list" allowBlank="1" showInputMessage="1" showErrorMessage="1" sqref="H5:H16">
      <formula1>$L$20:$L$23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7" max="1048575" man="1"/>
  </colBreaks>
  <ignoredErrors>
    <ignoredError sqref="G13: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27"/>
  <sheetViews>
    <sheetView showGridLines="0" view="pageBreakPreview" zoomScale="115" zoomScaleNormal="100" zoomScaleSheetLayoutView="115" workbookViewId="0">
      <selection activeCell="A28" sqref="A28"/>
    </sheetView>
  </sheetViews>
  <sheetFormatPr defaultColWidth="9.109375" defaultRowHeight="13.2" x14ac:dyDescent="0.25"/>
  <cols>
    <col min="1" max="1" width="33.88671875" style="26" customWidth="1"/>
    <col min="2" max="2" width="12.88671875" style="26" customWidth="1"/>
    <col min="3" max="3" width="12.33203125" style="26" customWidth="1"/>
    <col min="4" max="4" width="13" style="26" customWidth="1"/>
    <col min="5" max="5" width="11.33203125" style="26" customWidth="1"/>
    <col min="6" max="6" width="11" style="26" customWidth="1"/>
    <col min="7" max="7" width="11.44140625" style="26" customWidth="1"/>
    <col min="8" max="8" width="13.109375" style="26" customWidth="1"/>
    <col min="9" max="9" width="14.5546875" style="26" customWidth="1"/>
    <col min="10" max="16384" width="9.109375" style="26"/>
  </cols>
  <sheetData>
    <row r="1" spans="1:10" ht="17.25" customHeight="1" x14ac:dyDescent="0.25">
      <c r="A1" s="29" t="s">
        <v>38</v>
      </c>
    </row>
    <row r="2" spans="1:10" ht="16.5" customHeight="1" x14ac:dyDescent="0.25">
      <c r="A2" s="70" t="s">
        <v>37</v>
      </c>
      <c r="B2" s="70"/>
      <c r="C2" s="70"/>
      <c r="D2" s="70"/>
      <c r="E2" s="70"/>
      <c r="F2" s="70"/>
      <c r="G2" s="70"/>
      <c r="H2" s="70"/>
      <c r="I2" s="70"/>
    </row>
    <row r="3" spans="1:10" x14ac:dyDescent="0.25">
      <c r="A3" s="67" t="s">
        <v>8</v>
      </c>
      <c r="B3" s="67" t="s">
        <v>0</v>
      </c>
      <c r="C3" s="83" t="s">
        <v>1</v>
      </c>
      <c r="D3" s="83"/>
      <c r="E3" s="83"/>
      <c r="F3" s="83" t="s">
        <v>2</v>
      </c>
      <c r="G3" s="83"/>
      <c r="H3" s="83" t="s">
        <v>3</v>
      </c>
      <c r="I3" s="83"/>
    </row>
    <row r="4" spans="1:10" x14ac:dyDescent="0.25">
      <c r="A4" s="81"/>
      <c r="B4" s="68"/>
      <c r="C4" s="83"/>
      <c r="D4" s="83"/>
      <c r="E4" s="83"/>
      <c r="F4" s="83"/>
      <c r="G4" s="83"/>
      <c r="H4" s="83"/>
      <c r="I4" s="83"/>
    </row>
    <row r="5" spans="1:10" ht="52.8" x14ac:dyDescent="0.25">
      <c r="A5" s="82"/>
      <c r="B5" s="69"/>
      <c r="C5" s="46" t="s">
        <v>4</v>
      </c>
      <c r="D5" s="46" t="s">
        <v>5</v>
      </c>
      <c r="E5" s="46" t="s">
        <v>6</v>
      </c>
      <c r="F5" s="46" t="s">
        <v>7</v>
      </c>
      <c r="G5" s="46" t="s">
        <v>6</v>
      </c>
      <c r="H5" s="46" t="s">
        <v>7</v>
      </c>
      <c r="I5" s="46" t="s">
        <v>6</v>
      </c>
    </row>
    <row r="6" spans="1:10" s="31" customFormat="1" x14ac:dyDescent="0.25">
      <c r="A6" s="12" t="s">
        <v>115</v>
      </c>
      <c r="B6" s="12" t="s">
        <v>116</v>
      </c>
      <c r="C6" s="12">
        <v>10</v>
      </c>
      <c r="D6" s="12">
        <v>12</v>
      </c>
      <c r="E6" s="12">
        <f>52*1000</f>
        <v>52000</v>
      </c>
      <c r="F6" s="12">
        <f>C6*1.1</f>
        <v>11</v>
      </c>
      <c r="G6" s="12">
        <f>E6</f>
        <v>52000</v>
      </c>
      <c r="H6" s="12">
        <f>F6*1.1</f>
        <v>12.100000000000001</v>
      </c>
      <c r="I6" s="12">
        <f>G6</f>
        <v>52000</v>
      </c>
      <c r="J6" s="30"/>
    </row>
    <row r="7" spans="1:10" s="31" customFormat="1" x14ac:dyDescent="0.25">
      <c r="A7" s="12"/>
      <c r="B7" s="12"/>
      <c r="C7" s="12"/>
      <c r="D7" s="12"/>
      <c r="E7" s="12"/>
      <c r="F7" s="12"/>
      <c r="G7" s="12"/>
      <c r="H7" s="12"/>
      <c r="I7" s="12"/>
      <c r="J7" s="30"/>
    </row>
    <row r="8" spans="1:10" s="31" customFormat="1" x14ac:dyDescent="0.25">
      <c r="A8" s="12"/>
      <c r="B8" s="12"/>
      <c r="C8" s="12"/>
      <c r="D8" s="14"/>
      <c r="E8" s="12"/>
      <c r="F8" s="12"/>
      <c r="G8" s="12"/>
      <c r="H8" s="12"/>
      <c r="I8" s="12"/>
      <c r="J8" s="30"/>
    </row>
    <row r="9" spans="1:10" s="31" customFormat="1" x14ac:dyDescent="0.25">
      <c r="A9" s="12"/>
      <c r="B9" s="12"/>
      <c r="C9" s="12"/>
      <c r="D9" s="14"/>
      <c r="E9" s="12"/>
      <c r="F9" s="12"/>
      <c r="G9" s="12"/>
      <c r="H9" s="12"/>
      <c r="I9" s="12"/>
      <c r="J9" s="30"/>
    </row>
    <row r="10" spans="1:10" s="31" customFormat="1" x14ac:dyDescent="0.25">
      <c r="A10" s="12"/>
      <c r="B10" s="12"/>
      <c r="C10" s="12"/>
      <c r="D10" s="14"/>
      <c r="E10" s="12"/>
      <c r="F10" s="12"/>
      <c r="G10" s="12"/>
      <c r="H10" s="12"/>
      <c r="I10" s="12"/>
      <c r="J10" s="30"/>
    </row>
    <row r="11" spans="1:10" s="31" customFormat="1" x14ac:dyDescent="0.25">
      <c r="A11" s="12"/>
      <c r="B11" s="12"/>
      <c r="C11" s="12"/>
      <c r="D11" s="14"/>
      <c r="E11" s="12"/>
      <c r="F11" s="12"/>
      <c r="G11" s="12"/>
      <c r="H11" s="12"/>
      <c r="I11" s="12"/>
      <c r="J11" s="30"/>
    </row>
    <row r="12" spans="1:10" s="31" customFormat="1" x14ac:dyDescent="0.25">
      <c r="A12" s="12"/>
      <c r="B12" s="12"/>
      <c r="C12" s="12"/>
      <c r="D12" s="14"/>
      <c r="E12" s="12"/>
      <c r="F12" s="12"/>
      <c r="G12" s="12"/>
      <c r="H12" s="12"/>
      <c r="I12" s="12"/>
      <c r="J12" s="30"/>
    </row>
    <row r="13" spans="1:10" s="31" customFormat="1" x14ac:dyDescent="0.25">
      <c r="A13" s="84" t="s">
        <v>83</v>
      </c>
      <c r="B13" s="85"/>
      <c r="C13" s="50"/>
      <c r="D13" s="51"/>
      <c r="E13" s="52">
        <f>SUM(E6:E12)</f>
        <v>52000</v>
      </c>
      <c r="F13" s="51"/>
      <c r="G13" s="52">
        <f>SUM(G6:G12)</f>
        <v>52000</v>
      </c>
      <c r="H13" s="51"/>
      <c r="I13" s="52">
        <f>SUM(I6:I12)</f>
        <v>52000</v>
      </c>
      <c r="J13" s="30"/>
    </row>
    <row r="14" spans="1:10" s="31" customFormat="1" x14ac:dyDescent="0.25">
      <c r="A14" s="84" t="s">
        <v>84</v>
      </c>
      <c r="B14" s="85"/>
      <c r="C14" s="86" t="str">
        <f ca="1">TEXT('NPV + wsk_rent'!C5,0) &amp;" = A"</f>
        <v>520000 = A</v>
      </c>
      <c r="D14" s="87"/>
      <c r="E14" s="88"/>
      <c r="F14" s="86" t="str">
        <f ca="1">TEXT('NPV + wsk_rent'!D5,0) &amp;" = B"</f>
        <v>572000 = B</v>
      </c>
      <c r="G14" s="88"/>
      <c r="H14" s="86" t="str">
        <f ca="1">TEXT('NPV + wsk_rent'!E5,0) &amp;" = C"</f>
        <v>629200 = C</v>
      </c>
      <c r="I14" s="88"/>
      <c r="J14" s="30"/>
    </row>
    <row r="15" spans="1:10" s="31" customFormat="1" x14ac:dyDescent="0.25">
      <c r="A15" s="84" t="s">
        <v>85</v>
      </c>
      <c r="B15" s="85"/>
      <c r="C15" s="86">
        <f ca="1">SUM('NPV + wsk_rent'!C5:E5)</f>
        <v>1721200</v>
      </c>
      <c r="D15" s="87"/>
      <c r="E15" s="87"/>
      <c r="F15" s="87"/>
      <c r="G15" s="87"/>
      <c r="H15" s="87"/>
      <c r="I15" s="88"/>
      <c r="J15" s="30"/>
    </row>
    <row r="16" spans="1:10" x14ac:dyDescent="0.25">
      <c r="J16" s="32"/>
    </row>
    <row r="17" spans="1:9" ht="51.75" customHeight="1" x14ac:dyDescent="0.25">
      <c r="A17" s="71" t="s">
        <v>39</v>
      </c>
      <c r="B17" s="71"/>
      <c r="C17" s="71"/>
      <c r="D17" s="71"/>
      <c r="E17" s="71"/>
      <c r="F17" s="71"/>
      <c r="G17" s="71"/>
      <c r="H17" s="71"/>
      <c r="I17" s="71"/>
    </row>
    <row r="18" spans="1:9" x14ac:dyDescent="0.25">
      <c r="A18" s="72" t="s">
        <v>117</v>
      </c>
      <c r="B18" s="73"/>
      <c r="C18" s="73"/>
      <c r="D18" s="73"/>
      <c r="E18" s="73"/>
      <c r="F18" s="73"/>
      <c r="G18" s="73"/>
      <c r="H18" s="73"/>
      <c r="I18" s="74"/>
    </row>
    <row r="19" spans="1:9" ht="25.5" customHeight="1" x14ac:dyDescent="0.25">
      <c r="A19" s="75"/>
      <c r="B19" s="76"/>
      <c r="C19" s="76"/>
      <c r="D19" s="76"/>
      <c r="E19" s="76"/>
      <c r="F19" s="76"/>
      <c r="G19" s="76"/>
      <c r="H19" s="76"/>
      <c r="I19" s="77"/>
    </row>
    <row r="20" spans="1:9" x14ac:dyDescent="0.25">
      <c r="A20" s="75"/>
      <c r="B20" s="76"/>
      <c r="C20" s="76"/>
      <c r="D20" s="76"/>
      <c r="E20" s="76"/>
      <c r="F20" s="76"/>
      <c r="G20" s="76"/>
      <c r="H20" s="76"/>
      <c r="I20" s="77"/>
    </row>
    <row r="21" spans="1:9" x14ac:dyDescent="0.25">
      <c r="A21" s="75"/>
      <c r="B21" s="76"/>
      <c r="C21" s="76"/>
      <c r="D21" s="76"/>
      <c r="E21" s="76"/>
      <c r="F21" s="76"/>
      <c r="G21" s="76"/>
      <c r="H21" s="76"/>
      <c r="I21" s="77"/>
    </row>
    <row r="22" spans="1:9" x14ac:dyDescent="0.25">
      <c r="A22" s="75"/>
      <c r="B22" s="76"/>
      <c r="C22" s="76"/>
      <c r="D22" s="76"/>
      <c r="E22" s="76"/>
      <c r="F22" s="76"/>
      <c r="G22" s="76"/>
      <c r="H22" s="76"/>
      <c r="I22" s="77"/>
    </row>
    <row r="23" spans="1:9" x14ac:dyDescent="0.25">
      <c r="A23" s="75"/>
      <c r="B23" s="76"/>
      <c r="C23" s="76"/>
      <c r="D23" s="76"/>
      <c r="E23" s="76"/>
      <c r="F23" s="76"/>
      <c r="G23" s="76"/>
      <c r="H23" s="76"/>
      <c r="I23" s="77"/>
    </row>
    <row r="24" spans="1:9" x14ac:dyDescent="0.25">
      <c r="A24" s="75"/>
      <c r="B24" s="76"/>
      <c r="C24" s="76"/>
      <c r="D24" s="76"/>
      <c r="E24" s="76"/>
      <c r="F24" s="76"/>
      <c r="G24" s="76"/>
      <c r="H24" s="76"/>
      <c r="I24" s="77"/>
    </row>
    <row r="25" spans="1:9" x14ac:dyDescent="0.25">
      <c r="A25" s="75"/>
      <c r="B25" s="76"/>
      <c r="C25" s="76"/>
      <c r="D25" s="76"/>
      <c r="E25" s="76"/>
      <c r="F25" s="76"/>
      <c r="G25" s="76"/>
      <c r="H25" s="76"/>
      <c r="I25" s="77"/>
    </row>
    <row r="26" spans="1:9" x14ac:dyDescent="0.25">
      <c r="A26" s="75"/>
      <c r="B26" s="76"/>
      <c r="C26" s="76"/>
      <c r="D26" s="76"/>
      <c r="E26" s="76"/>
      <c r="F26" s="76"/>
      <c r="G26" s="76"/>
      <c r="H26" s="76"/>
      <c r="I26" s="77"/>
    </row>
    <row r="27" spans="1:9" x14ac:dyDescent="0.25">
      <c r="A27" s="78"/>
      <c r="B27" s="79"/>
      <c r="C27" s="79"/>
      <c r="D27" s="79"/>
      <c r="E27" s="79"/>
      <c r="F27" s="79"/>
      <c r="G27" s="79"/>
      <c r="H27" s="79"/>
      <c r="I27" s="80"/>
    </row>
  </sheetData>
  <sheetProtection insertRows="0" deleteRows="0"/>
  <mergeCells count="15">
    <mergeCell ref="B3:B5"/>
    <mergeCell ref="A2:I2"/>
    <mergeCell ref="A17:I17"/>
    <mergeCell ref="A18:I27"/>
    <mergeCell ref="A3:A5"/>
    <mergeCell ref="C3:E4"/>
    <mergeCell ref="F3:G4"/>
    <mergeCell ref="H3:I4"/>
    <mergeCell ref="A13:B13"/>
    <mergeCell ref="A14:B14"/>
    <mergeCell ref="A15:B15"/>
    <mergeCell ref="C14:E14"/>
    <mergeCell ref="F14:G14"/>
    <mergeCell ref="H14:I14"/>
    <mergeCell ref="C15:I15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599" r:id="rId1"/>
  <ignoredErrors>
    <ignoredError sqref="E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47"/>
  <sheetViews>
    <sheetView showGridLines="0" view="pageBreakPreview" topLeftCell="A13" zoomScale="115" zoomScaleNormal="100" zoomScaleSheetLayoutView="115" workbookViewId="0">
      <selection activeCell="B31" sqref="B31"/>
    </sheetView>
  </sheetViews>
  <sheetFormatPr defaultColWidth="9.109375" defaultRowHeight="13.2" x14ac:dyDescent="0.25"/>
  <cols>
    <col min="1" max="1" width="46.88671875" style="31" customWidth="1"/>
    <col min="2" max="5" width="9.109375" style="31"/>
    <col min="6" max="6" width="1.5546875" style="31" customWidth="1"/>
    <col min="7" max="7" width="27.5546875" style="31" customWidth="1"/>
    <col min="8" max="8" width="14.44140625" style="31" customWidth="1"/>
    <col min="9" max="16384" width="9.109375" style="31"/>
  </cols>
  <sheetData>
    <row r="1" spans="1:5" ht="16.5" customHeight="1" x14ac:dyDescent="0.25">
      <c r="A1" s="33" t="s">
        <v>36</v>
      </c>
    </row>
    <row r="2" spans="1:5" ht="34.5" customHeight="1" x14ac:dyDescent="0.25">
      <c r="A2" s="90" t="s">
        <v>9</v>
      </c>
      <c r="B2" s="90"/>
      <c r="C2" s="90"/>
      <c r="D2" s="90"/>
      <c r="E2" s="90"/>
    </row>
    <row r="3" spans="1:5" ht="105.6" x14ac:dyDescent="0.25">
      <c r="A3" s="19" t="s">
        <v>10</v>
      </c>
      <c r="B3" s="22" t="s">
        <v>110</v>
      </c>
      <c r="C3" s="22" t="s">
        <v>111</v>
      </c>
      <c r="D3" s="22" t="s">
        <v>112</v>
      </c>
      <c r="E3" s="22" t="s">
        <v>113</v>
      </c>
    </row>
    <row r="4" spans="1:5" x14ac:dyDescent="0.25">
      <c r="A4" s="20" t="s">
        <v>63</v>
      </c>
      <c r="B4" s="23"/>
      <c r="C4" s="23"/>
      <c r="D4" s="23"/>
      <c r="E4" s="23"/>
    </row>
    <row r="5" spans="1:5" ht="26.4" x14ac:dyDescent="0.25">
      <c r="A5" s="21" t="s">
        <v>64</v>
      </c>
      <c r="B5" s="11">
        <f>47*10*1000</f>
        <v>470000</v>
      </c>
      <c r="C5" s="24">
        <f ca="1">SUMPRODUCT(Przychody!C6:OFFSET(uzasadnienie,-4,2),Przychody!E6:OFFSET(uzasadnienie,-4,4))</f>
        <v>520000</v>
      </c>
      <c r="D5" s="24">
        <f ca="1">SUMPRODUCT(Przychody!F6:OFFSET(uzasadnienie,-4,5),Przychody!G6:OFFSET(uzasadnienie,-4,6))</f>
        <v>572000</v>
      </c>
      <c r="E5" s="24">
        <f ca="1">SUMPRODUCT(Przychody!H6:OFFSET(uzasadnienie,-4,7),Przychody!I6:OFFSET(uzasadnienie,-4,8))</f>
        <v>629200.00000000012</v>
      </c>
    </row>
    <row r="6" spans="1:5" x14ac:dyDescent="0.25">
      <c r="A6" s="19" t="s">
        <v>65</v>
      </c>
      <c r="B6" s="23"/>
      <c r="C6" s="23"/>
      <c r="D6" s="23"/>
      <c r="E6" s="23"/>
    </row>
    <row r="7" spans="1:5" x14ac:dyDescent="0.25">
      <c r="A7" s="12" t="s">
        <v>104</v>
      </c>
      <c r="B7" s="11">
        <f>B19</f>
        <v>31625</v>
      </c>
      <c r="C7" s="11">
        <f t="shared" ref="C7:E7" si="0">C19</f>
        <v>31625</v>
      </c>
      <c r="D7" s="11">
        <f t="shared" si="0"/>
        <v>31625</v>
      </c>
      <c r="E7" s="11">
        <f t="shared" si="0"/>
        <v>31625</v>
      </c>
    </row>
    <row r="8" spans="1:5" x14ac:dyDescent="0.25">
      <c r="A8" s="12"/>
      <c r="B8" s="11"/>
      <c r="C8" s="11"/>
      <c r="D8" s="11"/>
      <c r="E8" s="11"/>
    </row>
    <row r="9" spans="1:5" x14ac:dyDescent="0.25">
      <c r="A9" s="25" t="s">
        <v>13</v>
      </c>
      <c r="B9" s="24">
        <f>B5+B7+B8</f>
        <v>501625</v>
      </c>
      <c r="C9" s="24">
        <f t="shared" ref="C9:E9" ca="1" si="1">C5+C7+C8</f>
        <v>551625</v>
      </c>
      <c r="D9" s="24">
        <f t="shared" ca="1" si="1"/>
        <v>603625</v>
      </c>
      <c r="E9" s="24">
        <f t="shared" ca="1" si="1"/>
        <v>660825.00000000012</v>
      </c>
    </row>
    <row r="10" spans="1:5" x14ac:dyDescent="0.25">
      <c r="A10" s="25" t="s">
        <v>66</v>
      </c>
      <c r="B10" s="23"/>
      <c r="C10" s="23"/>
      <c r="D10" s="23"/>
      <c r="E10" s="23"/>
    </row>
    <row r="11" spans="1:5" x14ac:dyDescent="0.25">
      <c r="A11" s="21" t="s">
        <v>67</v>
      </c>
      <c r="B11" s="11"/>
      <c r="C11" s="11"/>
      <c r="D11" s="11"/>
      <c r="E11" s="11"/>
    </row>
    <row r="12" spans="1:5" ht="26.4" x14ac:dyDescent="0.25">
      <c r="A12" s="21" t="s">
        <v>68</v>
      </c>
      <c r="B12" s="11"/>
      <c r="C12" s="11"/>
      <c r="D12" s="11"/>
      <c r="E12" s="11"/>
    </row>
    <row r="13" spans="1:5" x14ac:dyDescent="0.25">
      <c r="A13" s="21" t="s">
        <v>69</v>
      </c>
      <c r="B13" s="11"/>
      <c r="C13" s="11"/>
      <c r="D13" s="11"/>
      <c r="E13" s="11"/>
    </row>
    <row r="14" spans="1:5" x14ac:dyDescent="0.25">
      <c r="A14" s="21" t="s">
        <v>70</v>
      </c>
      <c r="B14" s="11"/>
      <c r="C14" s="11"/>
      <c r="D14" s="11"/>
      <c r="E14" s="11"/>
    </row>
    <row r="15" spans="1:5" x14ac:dyDescent="0.25">
      <c r="A15" s="21" t="s">
        <v>71</v>
      </c>
      <c r="B15" s="11"/>
      <c r="C15" s="11"/>
      <c r="D15" s="11"/>
      <c r="E15" s="11"/>
    </row>
    <row r="16" spans="1:5" x14ac:dyDescent="0.25">
      <c r="A16" s="21" t="s">
        <v>72</v>
      </c>
      <c r="B16" s="11"/>
      <c r="C16" s="11"/>
      <c r="D16" s="11"/>
      <c r="E16" s="11"/>
    </row>
    <row r="17" spans="1:11" x14ac:dyDescent="0.25">
      <c r="A17" s="21" t="s">
        <v>73</v>
      </c>
      <c r="B17" s="11"/>
      <c r="C17" s="11"/>
      <c r="D17" s="11"/>
      <c r="E17" s="11"/>
      <c r="G17" s="92" t="s">
        <v>86</v>
      </c>
      <c r="H17" s="92"/>
      <c r="I17" s="92"/>
      <c r="J17" s="92"/>
      <c r="K17" s="92"/>
    </row>
    <row r="18" spans="1:11" ht="36" x14ac:dyDescent="0.25">
      <c r="A18" s="21" t="s">
        <v>74</v>
      </c>
      <c r="B18" s="23"/>
      <c r="C18" s="23"/>
      <c r="D18" s="23"/>
      <c r="E18" s="23"/>
      <c r="G18" s="34"/>
      <c r="H18" s="53" t="s">
        <v>88</v>
      </c>
      <c r="I18" s="22" t="s">
        <v>11</v>
      </c>
      <c r="J18" s="22" t="s">
        <v>12</v>
      </c>
      <c r="K18" s="22" t="s">
        <v>3</v>
      </c>
    </row>
    <row r="19" spans="1:11" x14ac:dyDescent="0.25">
      <c r="A19" s="39" t="s">
        <v>105</v>
      </c>
      <c r="B19" s="13">
        <f>IF(H19=0,"",H19)</f>
        <v>31625</v>
      </c>
      <c r="C19" s="13">
        <f t="shared" ref="C19:E20" si="2">IF(I19=0,"",I19)</f>
        <v>31625</v>
      </c>
      <c r="D19" s="13">
        <f t="shared" si="2"/>
        <v>31625</v>
      </c>
      <c r="E19" s="13">
        <f t="shared" si="2"/>
        <v>31625</v>
      </c>
      <c r="G19" s="34" t="s">
        <v>82</v>
      </c>
      <c r="H19" s="43">
        <f>Zakres!K11</f>
        <v>31625</v>
      </c>
      <c r="I19" s="43">
        <f>H19</f>
        <v>31625</v>
      </c>
      <c r="J19" s="43">
        <f>I19</f>
        <v>31625</v>
      </c>
      <c r="K19" s="43">
        <f>J19</f>
        <v>31625</v>
      </c>
    </row>
    <row r="20" spans="1:11" x14ac:dyDescent="0.25">
      <c r="A20" s="40" t="str">
        <f>IF(AND(B20="",C20="",D20="",E20=""),"",G20)</f>
        <v/>
      </c>
      <c r="B20" s="13" t="str">
        <f>IF(H20=0,"",H20)</f>
        <v/>
      </c>
      <c r="C20" s="13" t="str">
        <f t="shared" si="2"/>
        <v/>
      </c>
      <c r="D20" s="13" t="str">
        <f t="shared" si="2"/>
        <v/>
      </c>
      <c r="E20" s="13" t="str">
        <f t="shared" si="2"/>
        <v/>
      </c>
      <c r="G20" s="34" t="s">
        <v>78</v>
      </c>
      <c r="H20" s="43">
        <v>0</v>
      </c>
      <c r="I20" s="43">
        <v>0</v>
      </c>
      <c r="J20" s="43">
        <v>0</v>
      </c>
      <c r="K20" s="43">
        <v>0</v>
      </c>
    </row>
    <row r="21" spans="1:11" x14ac:dyDescent="0.25">
      <c r="A21" s="35"/>
      <c r="B21" s="11"/>
      <c r="C21" s="44"/>
      <c r="D21" s="44"/>
      <c r="E21" s="44"/>
      <c r="F21" s="37"/>
    </row>
    <row r="22" spans="1:11" x14ac:dyDescent="0.25">
      <c r="A22" s="35"/>
      <c r="B22" s="11"/>
      <c r="C22" s="11"/>
      <c r="D22" s="11"/>
      <c r="E22" s="11"/>
    </row>
    <row r="23" spans="1:11" x14ac:dyDescent="0.25">
      <c r="A23" s="35"/>
      <c r="B23" s="11"/>
      <c r="C23" s="11"/>
      <c r="D23" s="11"/>
      <c r="E23" s="11"/>
    </row>
    <row r="24" spans="1:11" x14ac:dyDescent="0.25">
      <c r="A24" s="35"/>
      <c r="B24" s="35"/>
      <c r="C24" s="35"/>
      <c r="D24" s="35"/>
      <c r="E24" s="35"/>
    </row>
    <row r="25" spans="1:11" x14ac:dyDescent="0.25">
      <c r="A25" s="12"/>
      <c r="B25" s="11"/>
      <c r="C25" s="11"/>
      <c r="D25" s="11"/>
      <c r="E25" s="11"/>
    </row>
    <row r="26" spans="1:11" x14ac:dyDescent="0.25">
      <c r="A26" s="12"/>
      <c r="B26" s="11">
        <v>20000</v>
      </c>
      <c r="C26" s="11">
        <f>B26*1.1</f>
        <v>22000</v>
      </c>
      <c r="D26" s="11">
        <f t="shared" ref="D26:E26" si="3">C26*1.1</f>
        <v>24200.000000000004</v>
      </c>
      <c r="E26" s="11">
        <f t="shared" si="3"/>
        <v>26620.000000000007</v>
      </c>
      <c r="F26" s="31" t="s">
        <v>114</v>
      </c>
      <c r="G26" s="125"/>
    </row>
    <row r="27" spans="1:11" x14ac:dyDescent="0.25">
      <c r="A27" s="12"/>
      <c r="B27" s="11"/>
      <c r="C27" s="11"/>
      <c r="D27" s="11"/>
      <c r="E27" s="11"/>
    </row>
    <row r="28" spans="1:11" x14ac:dyDescent="0.25">
      <c r="A28" s="25" t="s">
        <v>14</v>
      </c>
      <c r="B28" s="24">
        <f>SUM(B11:B17)+SUM(B19:B27)</f>
        <v>51625</v>
      </c>
      <c r="C28" s="24">
        <f>SUM(C11:C17)+SUM(C19:C27)</f>
        <v>53625</v>
      </c>
      <c r="D28" s="24">
        <f t="shared" ref="D28:E28" si="4">SUM(D11:D17)+SUM(D19:D27)</f>
        <v>55825</v>
      </c>
      <c r="E28" s="24">
        <f t="shared" si="4"/>
        <v>58245.000000000007</v>
      </c>
    </row>
    <row r="29" spans="1:11" x14ac:dyDescent="0.25">
      <c r="A29" s="25" t="s">
        <v>75</v>
      </c>
      <c r="B29" s="24">
        <f>B9-B28</f>
        <v>450000</v>
      </c>
      <c r="C29" s="24">
        <f t="shared" ref="C29:E29" ca="1" si="5">C9-C28</f>
        <v>498000</v>
      </c>
      <c r="D29" s="24">
        <f t="shared" ca="1" si="5"/>
        <v>547800</v>
      </c>
      <c r="E29" s="24">
        <f t="shared" ca="1" si="5"/>
        <v>602580.00000000012</v>
      </c>
    </row>
    <row r="30" spans="1:11" x14ac:dyDescent="0.25">
      <c r="A30" s="25" t="s">
        <v>76</v>
      </c>
      <c r="B30" s="11">
        <f>0.18*B29</f>
        <v>81000</v>
      </c>
      <c r="C30" s="11">
        <f ca="1">0.18*C29</f>
        <v>89640</v>
      </c>
      <c r="D30" s="11">
        <f t="shared" ref="D30:E30" ca="1" si="6">0.18*D29</f>
        <v>98604</v>
      </c>
      <c r="E30" s="11">
        <f t="shared" ca="1" si="6"/>
        <v>108464.40000000002</v>
      </c>
    </row>
    <row r="31" spans="1:11" x14ac:dyDescent="0.25">
      <c r="A31" s="25" t="s">
        <v>77</v>
      </c>
      <c r="B31" s="24">
        <f>B29-B30</f>
        <v>369000</v>
      </c>
      <c r="C31" s="24">
        <f t="shared" ref="C31:E31" ca="1" si="7">C29-C30</f>
        <v>408360</v>
      </c>
      <c r="D31" s="24">
        <f t="shared" ca="1" si="7"/>
        <v>449196</v>
      </c>
      <c r="E31" s="24">
        <f t="shared" ca="1" si="7"/>
        <v>494115.60000000009</v>
      </c>
    </row>
    <row r="32" spans="1:11" x14ac:dyDescent="0.25">
      <c r="A32" s="91" t="s">
        <v>15</v>
      </c>
      <c r="B32" s="91"/>
      <c r="C32" s="91"/>
      <c r="D32" s="91"/>
      <c r="E32" s="91"/>
    </row>
    <row r="33" spans="1:7" x14ac:dyDescent="0.25">
      <c r="A33" s="89" t="s">
        <v>106</v>
      </c>
      <c r="B33" s="89"/>
      <c r="C33" s="89"/>
      <c r="D33" s="89"/>
      <c r="E33" s="89"/>
    </row>
    <row r="34" spans="1:7" x14ac:dyDescent="0.25">
      <c r="A34" s="89"/>
      <c r="B34" s="89"/>
      <c r="C34" s="89"/>
      <c r="D34" s="89"/>
      <c r="E34" s="89"/>
    </row>
    <row r="35" spans="1:7" x14ac:dyDescent="0.25">
      <c r="A35" s="89"/>
      <c r="B35" s="89"/>
      <c r="C35" s="89"/>
      <c r="D35" s="89"/>
      <c r="E35" s="89"/>
    </row>
    <row r="36" spans="1:7" x14ac:dyDescent="0.25">
      <c r="A36" s="89"/>
      <c r="B36" s="89"/>
      <c r="C36" s="89"/>
      <c r="D36" s="89"/>
      <c r="E36" s="89"/>
    </row>
    <row r="37" spans="1:7" x14ac:dyDescent="0.25">
      <c r="A37" s="89"/>
      <c r="B37" s="89"/>
      <c r="C37" s="89"/>
      <c r="D37" s="89"/>
      <c r="E37" s="89"/>
    </row>
    <row r="38" spans="1:7" x14ac:dyDescent="0.25">
      <c r="A38" s="89"/>
      <c r="B38" s="89"/>
      <c r="C38" s="89"/>
      <c r="D38" s="89"/>
      <c r="E38" s="89"/>
      <c r="G38" s="125" t="s">
        <v>109</v>
      </c>
    </row>
    <row r="39" spans="1:7" x14ac:dyDescent="0.25">
      <c r="A39" s="89"/>
      <c r="B39" s="89"/>
      <c r="C39" s="89"/>
      <c r="D39" s="89"/>
      <c r="E39" s="89"/>
    </row>
    <row r="40" spans="1:7" x14ac:dyDescent="0.25">
      <c r="A40" s="89"/>
      <c r="B40" s="89"/>
      <c r="C40" s="89"/>
      <c r="D40" s="89"/>
      <c r="E40" s="89"/>
    </row>
    <row r="41" spans="1:7" x14ac:dyDescent="0.25">
      <c r="A41" s="89"/>
      <c r="B41" s="89"/>
      <c r="C41" s="89"/>
      <c r="D41" s="89"/>
      <c r="E41" s="89"/>
    </row>
    <row r="42" spans="1:7" x14ac:dyDescent="0.25">
      <c r="A42" s="89"/>
      <c r="B42" s="89"/>
      <c r="C42" s="89"/>
      <c r="D42" s="89"/>
      <c r="E42" s="89"/>
    </row>
    <row r="43" spans="1:7" x14ac:dyDescent="0.25">
      <c r="A43" s="89"/>
      <c r="B43" s="89"/>
      <c r="C43" s="89"/>
      <c r="D43" s="89"/>
      <c r="E43" s="89"/>
    </row>
    <row r="44" spans="1:7" x14ac:dyDescent="0.25">
      <c r="A44" s="89"/>
      <c r="B44" s="89"/>
      <c r="C44" s="89"/>
      <c r="D44" s="89"/>
      <c r="E44" s="89"/>
    </row>
    <row r="45" spans="1:7" x14ac:dyDescent="0.25">
      <c r="A45" s="89"/>
      <c r="B45" s="89"/>
      <c r="C45" s="89"/>
      <c r="D45" s="89"/>
      <c r="E45" s="89"/>
    </row>
    <row r="46" spans="1:7" x14ac:dyDescent="0.25">
      <c r="A46" s="89"/>
      <c r="B46" s="89"/>
      <c r="C46" s="89"/>
      <c r="D46" s="89"/>
      <c r="E46" s="89"/>
    </row>
    <row r="47" spans="1:7" ht="8.25" customHeight="1" x14ac:dyDescent="0.25"/>
  </sheetData>
  <mergeCells count="4">
    <mergeCell ref="A33:E46"/>
    <mergeCell ref="A2:E2"/>
    <mergeCell ref="A32:E32"/>
    <mergeCell ref="G17:K17"/>
  </mergeCells>
  <dataValidations count="3">
    <dataValidation allowBlank="1" showInputMessage="1" showErrorMessage="1" prompt="Pole &quot;Rok n&quot; należy wypełnić manualnie" sqref="B5"/>
    <dataValidation allowBlank="1" showInputMessage="1" showErrorMessage="1" prompt="Wiersz wypełniany automatycznie na podstawie Tabeli pomocniczej nr. 2_x000a__x000a_" sqref="A19"/>
    <dataValidation allowBlank="1" showInputMessage="1" showErrorMessage="1" prompt="Wiersz wypełniany automatycznie na podstawie Tabeli pomocniczej nr. 3_x000a__x000a_" sqref="B19:E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20"/>
  <sheetViews>
    <sheetView showGridLines="0" tabSelected="1" view="pageBreakPreview" topLeftCell="A10" zoomScaleNormal="100" zoomScaleSheetLayoutView="100" workbookViewId="0">
      <selection activeCell="B10" sqref="B10"/>
    </sheetView>
  </sheetViews>
  <sheetFormatPr defaultRowHeight="14.4" x14ac:dyDescent="0.3"/>
  <cols>
    <col min="1" max="1" width="29" customWidth="1"/>
    <col min="2" max="2" width="14.33203125" customWidth="1"/>
    <col min="3" max="3" width="13.6640625" customWidth="1"/>
    <col min="4" max="4" width="11.6640625" customWidth="1"/>
    <col min="5" max="5" width="11.5546875" customWidth="1"/>
    <col min="6" max="6" width="4.109375" customWidth="1"/>
  </cols>
  <sheetData>
    <row r="1" spans="1:6" ht="16.5" customHeight="1" x14ac:dyDescent="0.3">
      <c r="A1" s="26" t="s">
        <v>34</v>
      </c>
      <c r="B1" s="26"/>
      <c r="C1" s="26"/>
      <c r="D1" s="26"/>
      <c r="E1" s="26"/>
    </row>
    <row r="2" spans="1:6" x14ac:dyDescent="0.3">
      <c r="A2" s="98" t="s">
        <v>16</v>
      </c>
      <c r="B2" s="16" t="s">
        <v>17</v>
      </c>
      <c r="C2" s="98" t="s">
        <v>19</v>
      </c>
      <c r="D2" s="98" t="s">
        <v>20</v>
      </c>
      <c r="E2" s="98" t="s">
        <v>21</v>
      </c>
    </row>
    <row r="3" spans="1:6" ht="33.75" customHeight="1" x14ac:dyDescent="0.3">
      <c r="A3" s="98"/>
      <c r="B3" s="16" t="s">
        <v>18</v>
      </c>
      <c r="C3" s="98"/>
      <c r="D3" s="98"/>
      <c r="E3" s="98"/>
    </row>
    <row r="4" spans="1:6" x14ac:dyDescent="0.3">
      <c r="A4" s="4" t="s">
        <v>22</v>
      </c>
      <c r="B4" s="17">
        <f>Zakres!M28</f>
        <v>515000</v>
      </c>
      <c r="C4" s="17"/>
      <c r="D4" s="17"/>
      <c r="E4" s="17"/>
    </row>
    <row r="5" spans="1:6" ht="34.5" customHeight="1" x14ac:dyDescent="0.3">
      <c r="A5" s="4" t="s">
        <v>23</v>
      </c>
      <c r="B5" s="17">
        <f>47*Przychody!C6*1000</f>
        <v>470000</v>
      </c>
      <c r="C5" s="17">
        <f ca="1">SUMPRODUCT(Przychody!C6:OFFSET(uzasadnienie,-4,2),Przychody!E6:OFFSET(uzasadnienie,-4,4))</f>
        <v>520000</v>
      </c>
      <c r="D5" s="17">
        <f ca="1">SUMPRODUCT(Przychody!F6:OFFSET(uzasadnienie,-4,5),Przychody!G6:OFFSET(uzasadnienie,-4,6))</f>
        <v>572000</v>
      </c>
      <c r="E5" s="17">
        <f ca="1">SUMPRODUCT(Przychody!H6:OFFSET(uzasadnienie,-4,7),Przychody!I6:OFFSET(uzasadnienie,-4,8))</f>
        <v>629200.00000000012</v>
      </c>
    </row>
    <row r="6" spans="1:6" ht="31.5" customHeight="1" x14ac:dyDescent="0.3">
      <c r="A6" s="4" t="s">
        <v>24</v>
      </c>
      <c r="B6" s="17">
        <f>RZS!B28</f>
        <v>51625</v>
      </c>
      <c r="C6" s="17">
        <f>RZS!C28</f>
        <v>53625</v>
      </c>
      <c r="D6" s="17">
        <f>RZS!D28</f>
        <v>55825</v>
      </c>
      <c r="E6" s="17">
        <f>RZS!E28</f>
        <v>58245.000000000007</v>
      </c>
    </row>
    <row r="7" spans="1:6" x14ac:dyDescent="0.3">
      <c r="A7" s="4" t="s">
        <v>25</v>
      </c>
      <c r="B7" s="17">
        <f>B5-B6</f>
        <v>418375</v>
      </c>
      <c r="C7" s="18">
        <f t="shared" ref="C7:E7" ca="1" si="0">C5-C6</f>
        <v>466375</v>
      </c>
      <c r="D7" s="18">
        <f t="shared" ca="1" si="0"/>
        <v>516175</v>
      </c>
      <c r="E7" s="18">
        <f t="shared" ca="1" si="0"/>
        <v>570955.00000000012</v>
      </c>
    </row>
    <row r="8" spans="1:6" ht="22.5" customHeight="1" x14ac:dyDescent="0.3">
      <c r="A8" s="5" t="s">
        <v>26</v>
      </c>
      <c r="B8" s="99">
        <f>RZS!B30</f>
        <v>81000</v>
      </c>
      <c r="C8" s="99">
        <f ca="1">RZS!C30</f>
        <v>89640</v>
      </c>
      <c r="D8" s="99">
        <f ca="1">RZS!D30</f>
        <v>98604</v>
      </c>
      <c r="E8" s="99">
        <f ca="1">RZS!E30</f>
        <v>108464.40000000002</v>
      </c>
    </row>
    <row r="9" spans="1:6" ht="17.25" customHeight="1" x14ac:dyDescent="0.3">
      <c r="A9" s="47">
        <v>0.18</v>
      </c>
      <c r="B9" s="99"/>
      <c r="C9" s="99"/>
      <c r="D9" s="99"/>
      <c r="E9" s="99"/>
    </row>
    <row r="10" spans="1:6" x14ac:dyDescent="0.3">
      <c r="A10" s="5" t="s">
        <v>27</v>
      </c>
      <c r="B10" s="17">
        <f>B7-B8</f>
        <v>337375</v>
      </c>
      <c r="C10" s="36">
        <f t="shared" ref="C10:E10" ca="1" si="1">C7-C8</f>
        <v>376735</v>
      </c>
      <c r="D10" s="36">
        <f t="shared" ca="1" si="1"/>
        <v>417571</v>
      </c>
      <c r="E10" s="36">
        <f t="shared" ca="1" si="1"/>
        <v>462490.60000000009</v>
      </c>
    </row>
    <row r="11" spans="1:6" x14ac:dyDescent="0.3">
      <c r="A11" s="5" t="s">
        <v>28</v>
      </c>
      <c r="B11" s="6"/>
      <c r="C11" s="6"/>
      <c r="D11" s="6"/>
      <c r="E11" s="7">
        <f>Zakres!M29-SUM(RZS!H19:K19)</f>
        <v>388500</v>
      </c>
    </row>
    <row r="12" spans="1:6" x14ac:dyDescent="0.3">
      <c r="A12" s="5" t="s">
        <v>29</v>
      </c>
      <c r="B12" s="17">
        <f>IF(RZS!B19="",0,RZS!B19)+IF(RZS!B20="",0,RZS!B20)</f>
        <v>31625</v>
      </c>
      <c r="C12" s="18">
        <f>IF(RZS!C19="",0,RZS!C19)+IF(RZS!C20="",0,RZS!C20)</f>
        <v>31625</v>
      </c>
      <c r="D12" s="18">
        <f>IF(RZS!D19="",0,RZS!D19)+IF(RZS!D20="",0,RZS!D20)</f>
        <v>31625</v>
      </c>
      <c r="E12" s="36">
        <f>IF(RZS!E19="",0,RZS!E19)+IF(RZS!E20="",0,RZS!E20)</f>
        <v>31625</v>
      </c>
    </row>
    <row r="13" spans="1:6" x14ac:dyDescent="0.3">
      <c r="A13" s="5" t="s">
        <v>30</v>
      </c>
      <c r="B13" s="17">
        <f t="shared" ref="B13:D13" si="2">(-B4)+B10+B12</f>
        <v>-146000</v>
      </c>
      <c r="C13" s="17">
        <f t="shared" ca="1" si="2"/>
        <v>408360</v>
      </c>
      <c r="D13" s="17">
        <f t="shared" ca="1" si="2"/>
        <v>449196</v>
      </c>
      <c r="E13" s="17">
        <f ca="1">(-E4)+E10+E12+E11</f>
        <v>882615.60000000009</v>
      </c>
    </row>
    <row r="14" spans="1:6" ht="26.4" x14ac:dyDescent="0.3">
      <c r="A14" s="5" t="s">
        <v>31</v>
      </c>
      <c r="B14" s="16">
        <f>1/(1+$F14)^0</f>
        <v>1</v>
      </c>
      <c r="C14" s="8">
        <f>ROUND(1/(1+$F14)^1,4)</f>
        <v>0.97250000000000003</v>
      </c>
      <c r="D14" s="8">
        <f>ROUND(1/(1+$F14)^2,4)</f>
        <v>0.94569999999999999</v>
      </c>
      <c r="E14" s="8">
        <f>ROUND(1/(1+$F14)^3,4)</f>
        <v>0.91969999999999996</v>
      </c>
      <c r="F14" s="3">
        <v>2.8299999999999999E-2</v>
      </c>
    </row>
    <row r="15" spans="1:6" x14ac:dyDescent="0.3">
      <c r="A15" s="9" t="s">
        <v>32</v>
      </c>
      <c r="B15" s="93">
        <f ca="1">SUMPRODUCT(B13:E13,B14:E14)</f>
        <v>1487676.3245200003</v>
      </c>
      <c r="C15" s="93"/>
      <c r="D15" s="94"/>
      <c r="E15" s="94"/>
    </row>
    <row r="16" spans="1:6" x14ac:dyDescent="0.3">
      <c r="A16" s="26"/>
      <c r="B16" s="26"/>
      <c r="C16" s="26"/>
      <c r="D16" s="26"/>
      <c r="E16" s="26"/>
    </row>
    <row r="17" spans="1:6" ht="22.8" customHeight="1" x14ac:dyDescent="0.3">
      <c r="A17" s="26" t="s">
        <v>35</v>
      </c>
      <c r="B17" s="26"/>
      <c r="C17" s="26"/>
      <c r="D17" s="26"/>
      <c r="E17" s="26"/>
    </row>
    <row r="18" spans="1:6" x14ac:dyDescent="0.3">
      <c r="A18" s="95"/>
      <c r="B18" s="96" t="s">
        <v>87</v>
      </c>
      <c r="C18" s="97" t="s">
        <v>19</v>
      </c>
      <c r="D18" s="97" t="s">
        <v>20</v>
      </c>
      <c r="E18" s="97" t="s">
        <v>21</v>
      </c>
      <c r="F18" s="2"/>
    </row>
    <row r="19" spans="1:6" ht="31.2" customHeight="1" x14ac:dyDescent="0.3">
      <c r="A19" s="95"/>
      <c r="B19" s="97"/>
      <c r="C19" s="97"/>
      <c r="D19" s="97"/>
      <c r="E19" s="97"/>
      <c r="F19" s="2"/>
    </row>
    <row r="20" spans="1:6" ht="42" customHeight="1" x14ac:dyDescent="0.3">
      <c r="A20" s="1" t="s">
        <v>33</v>
      </c>
      <c r="B20" s="10">
        <f>IF(RZS!B5=0,"",RZS!B29/RZS!B5*100%)</f>
        <v>0.95744680851063835</v>
      </c>
      <c r="C20" s="10">
        <f ca="1">IF(RZS!C5=0,"",RZS!C29/RZS!C5*100%)</f>
        <v>0.95769230769230773</v>
      </c>
      <c r="D20" s="10">
        <f ca="1">IF(RZS!D5=0,"",RZS!D29/RZS!D5*100%)</f>
        <v>0.95769230769230773</v>
      </c>
      <c r="E20" s="10">
        <f ca="1">IF(RZS!E5=0,"",RZS!E29/RZS!E5*100%)</f>
        <v>0.95769230769230773</v>
      </c>
      <c r="F20" s="2"/>
    </row>
  </sheetData>
  <mergeCells count="15">
    <mergeCell ref="A2:A3"/>
    <mergeCell ref="C2:C3"/>
    <mergeCell ref="D2:D3"/>
    <mergeCell ref="E2:E3"/>
    <mergeCell ref="B8:B9"/>
    <mergeCell ref="C8:C9"/>
    <mergeCell ref="D8:D9"/>
    <mergeCell ref="E8:E9"/>
    <mergeCell ref="B15:C15"/>
    <mergeCell ref="D15:E15"/>
    <mergeCell ref="A18:A19"/>
    <mergeCell ref="B18:B19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786AE0F-ED66-4251-8B85-6153E999313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esnazyk</cp:lastModifiedBy>
  <cp:lastPrinted>2022-08-12T07:07:25Z</cp:lastPrinted>
  <dcterms:created xsi:type="dcterms:W3CDTF">2017-01-11T14:22:24Z</dcterms:created>
  <dcterms:modified xsi:type="dcterms:W3CDTF">2022-09-15T12:00:39Z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7de408e0-51f4-4ee7-b657-c4400f933785</vt:lpwstr>
  </property>
  <property fmtid="{D5CDD505-2E9C-101B-9397-08002B2CF9AE}" pid="3" name="bjSaver">
    <vt:lpwstr>NycvqYIEphMWD9lO9pkKBmobh0y9CcMK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